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520" windowHeight="11760"/>
  </bookViews>
  <sheets>
    <sheet name="CÁLCULO DE FRETE" sheetId="4" r:id="rId1"/>
    <sheet name="DIMENSIONAMENTO DE FROTA" sheetId="3" r:id="rId2"/>
  </sheets>
  <definedNames>
    <definedName name="_xlnm._FilterDatabase" localSheetId="0" hidden="1">'CÁLCULO DE FRETE'!$F$25:$I$25</definedName>
  </definedNames>
  <calcPr calcId="161420"/>
  <fileRecoveryPr repairLoad="1"/>
</workbook>
</file>

<file path=xl/calcChain.xml><?xml version="1.0" encoding="utf-8"?>
<calcChain xmlns="http://schemas.openxmlformats.org/spreadsheetml/2006/main">
  <c r="C35" i="4"/>
  <c r="C34"/>
  <c r="C33"/>
  <c r="C32"/>
  <c r="C36"/>
  <c r="C28"/>
  <c r="C27"/>
  <c r="C25"/>
  <c r="G11"/>
  <c r="G7"/>
  <c r="H11"/>
  <c r="C24"/>
  <c r="G21"/>
  <c r="G20"/>
  <c r="G19"/>
  <c r="G18"/>
  <c r="G22"/>
  <c r="G14"/>
  <c r="G13"/>
  <c r="G10"/>
  <c r="H13"/>
  <c r="C5"/>
  <c r="C26"/>
  <c r="G12"/>
  <c r="C29"/>
  <c r="C30"/>
  <c r="G15"/>
  <c r="H10"/>
  <c r="H12"/>
  <c r="H14"/>
  <c r="C20" i="3"/>
  <c r="C7"/>
  <c r="C17"/>
  <c r="C15"/>
  <c r="G11"/>
  <c r="H15" i="4"/>
  <c r="G24"/>
  <c r="I14"/>
  <c r="C18" i="3"/>
  <c r="C21"/>
  <c r="C23"/>
  <c r="I10" i="4"/>
  <c r="I21"/>
  <c r="I20"/>
  <c r="I19"/>
  <c r="I18"/>
  <c r="I13"/>
  <c r="I11"/>
  <c r="I12"/>
  <c r="C22" i="3"/>
  <c r="C24"/>
  <c r="C26"/>
</calcChain>
</file>

<file path=xl/sharedStrings.xml><?xml version="1.0" encoding="utf-8"?>
<sst xmlns="http://schemas.openxmlformats.org/spreadsheetml/2006/main" count="145" uniqueCount="92">
  <si>
    <t>ENTRADA DE DADOS</t>
  </si>
  <si>
    <t>CALCULO P/KM</t>
  </si>
  <si>
    <t>SALÁRIO DO MOTORISTA</t>
  </si>
  <si>
    <t>R$/MÊS</t>
  </si>
  <si>
    <t>KM DA ROTA</t>
  </si>
  <si>
    <t>KM</t>
  </si>
  <si>
    <t>HORAS DE TRABALHO/MÊS</t>
  </si>
  <si>
    <t>HORAS/MÊS</t>
  </si>
  <si>
    <t>TEMPO DE CARGA</t>
  </si>
  <si>
    <t>HORAS</t>
  </si>
  <si>
    <t>ENCARGOS E BENEFICIOS DO MOTORISTA</t>
  </si>
  <si>
    <t>TEMPO DE DESCARGA</t>
  </si>
  <si>
    <t>TAXA DE OPORTUNIDADE</t>
  </si>
  <si>
    <t>% A.A</t>
  </si>
  <si>
    <t>VELOCIDADE MÉDIA</t>
  </si>
  <si>
    <t>KM/H</t>
  </si>
  <si>
    <t>CUSTO ADMINISTRATIVO</t>
  </si>
  <si>
    <t>TEMPO DA VIAGEM</t>
  </si>
  <si>
    <t xml:space="preserve">CONSUMO DE COMBUSTÍVEL </t>
  </si>
  <si>
    <t>KM/LITRO</t>
  </si>
  <si>
    <t>CUSTOS FIXOS</t>
  </si>
  <si>
    <t>INTERVALO ENTRE TROCA DE ÓLEO</t>
  </si>
  <si>
    <t>R$/HORA</t>
  </si>
  <si>
    <t>R$/ROTA</t>
  </si>
  <si>
    <t>%/ROTA</t>
  </si>
  <si>
    <t>LITROS DE ÓLEO POR TROCA</t>
  </si>
  <si>
    <t>LITRO</t>
  </si>
  <si>
    <t>DEPRECIAÇÃO</t>
  </si>
  <si>
    <t>NÚMERO DE PNEUS</t>
  </si>
  <si>
    <t>REMUNERAÇÃO DE CAPITAL</t>
  </si>
  <si>
    <t>INTERVALO ENTRE TROCA DE PNEU/ RECAPAGEM</t>
  </si>
  <si>
    <t>MÃO DE OBRA</t>
  </si>
  <si>
    <t>NÚMERO DE RECAPAGENS</t>
  </si>
  <si>
    <t>IPVA/SEGURO OBRIGATÓRIO</t>
  </si>
  <si>
    <t>CUSTOS DE MANUTENÇÃO</t>
  </si>
  <si>
    <t>R$/KM</t>
  </si>
  <si>
    <t>VALOR DE AQUISIÇÃO DO VEÍCULO</t>
  </si>
  <si>
    <t>R$</t>
  </si>
  <si>
    <t>TOTAL</t>
  </si>
  <si>
    <t>VIDA ÚTIL DO VEÍCULO</t>
  </si>
  <si>
    <t>MESES</t>
  </si>
  <si>
    <t xml:space="preserve">CUSTOS VARIÁVEIS </t>
  </si>
  <si>
    <t>VALOR RESIDUAL DO VEÍCULO</t>
  </si>
  <si>
    <t>PREÇO DO ÓLEO</t>
  </si>
  <si>
    <t>R$/LITRO</t>
  </si>
  <si>
    <t>COMBUSTÍVEL</t>
  </si>
  <si>
    <t>PREÇO DO COMBUSTÍVEL</t>
  </si>
  <si>
    <t>ÓLEO</t>
  </si>
  <si>
    <t>PREÇO DO PNEU</t>
  </si>
  <si>
    <t>PNEU</t>
  </si>
  <si>
    <t>PREÇO DA RECAPAGEM</t>
  </si>
  <si>
    <t>MANUTENÇÃO</t>
  </si>
  <si>
    <t>R$/ANO</t>
  </si>
  <si>
    <t>CUSTO FIXO</t>
  </si>
  <si>
    <t>CUSTOS ADMINISTRATIVO</t>
  </si>
  <si>
    <t>TOTAL I</t>
  </si>
  <si>
    <t>TOTAL II</t>
  </si>
  <si>
    <t>CUSTO VARIÁVEL</t>
  </si>
  <si>
    <t>DADOS DA OPERAÇÃO</t>
  </si>
  <si>
    <t>PERÍODO</t>
  </si>
  <si>
    <t>MÊS</t>
  </si>
  <si>
    <t>VOLUME TRANSPORTADO PERIODO</t>
  </si>
  <si>
    <t>TONELADAS</t>
  </si>
  <si>
    <t>TIPO DE VEÍCULO UTILIZADO</t>
  </si>
  <si>
    <t>CARRETA</t>
  </si>
  <si>
    <t>CAPACIDADE DO VEÍCULO UTILIZADO</t>
  </si>
  <si>
    <t>NUMERO DE VIAGENS/PERIODO</t>
  </si>
  <si>
    <t>VIAGENS</t>
  </si>
  <si>
    <t>HORAS TRABALHADAS POR MOTORISTAS (DIA)</t>
  </si>
  <si>
    <t>DADOS DA ROTA</t>
  </si>
  <si>
    <t>PERCURSO</t>
  </si>
  <si>
    <t>ORIGEM</t>
  </si>
  <si>
    <t>DESTINO</t>
  </si>
  <si>
    <t>KM (IDA)</t>
  </si>
  <si>
    <t>KM (VOLTA)</t>
  </si>
  <si>
    <t>KM (TOTAL)</t>
  </si>
  <si>
    <t>PR</t>
  </si>
  <si>
    <t>SP</t>
  </si>
  <si>
    <t>VELOCIDADE MEDIA (IDA)</t>
  </si>
  <si>
    <t>VELOCIDADE MEDIA (VOLTA)</t>
  </si>
  <si>
    <t>TEMPO DE TRÂNSITO (IDA)</t>
  </si>
  <si>
    <t>TEMPO DE TRÂNSITO (VOLTA)</t>
  </si>
  <si>
    <t>TEMPO TOTAL DO CICLO DE TRANSPORTE</t>
  </si>
  <si>
    <t>DIAS TRABALHADOS NO MÊS</t>
  </si>
  <si>
    <t>DIAS</t>
  </si>
  <si>
    <t>TEMPO TOTAL DE TRABALHO/MÊS</t>
  </si>
  <si>
    <t>VIAGENS VEÍCULO (DIA)</t>
  </si>
  <si>
    <t>VIAGENS VEÍCULO (MÊS)</t>
  </si>
  <si>
    <t>KM/DIA POR VEÍCULO (DIA)</t>
  </si>
  <si>
    <t>KM/DIA POR VEÍCULO (MÊS)</t>
  </si>
  <si>
    <t>TOTAL DE VEÍCULOS PARA OPERAÇÃO</t>
  </si>
  <si>
    <t>VEÍCULOS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</si>
</sst>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[h]:mm"/>
    <numFmt numFmtId="166" formatCode="mm:ss.0;@"/>
    <numFmt numFmtId="167" formatCode="[h]:mm;@"/>
  </numFmts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9" fontId="1" fillId="2" borderId="12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2" borderId="1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5" fillId="0" borderId="0" xfId="1" applyAlignment="1">
      <alignment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7"/>
  <c:chart>
    <c:autoTitleDeleted val="1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outEnd"/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('CÁLCULO DE FRETE'!$F$10:$F$14,'CÁLCULO DE FRETE'!$F$18:$F$21)</c:f>
              <c:strCache>
                <c:ptCount val="9"/>
                <c:pt idx="0">
                  <c:v>DEPRECIAÇÃO</c:v>
                </c:pt>
                <c:pt idx="1">
                  <c:v>REMUNERAÇÃO DE CAPITAL</c:v>
                </c:pt>
                <c:pt idx="2">
                  <c:v>MÃO DE OBRA</c:v>
                </c:pt>
                <c:pt idx="3">
                  <c:v>IPVA/SEGURO OBRIGATÓRIO</c:v>
                </c:pt>
                <c:pt idx="4">
                  <c:v>CUSTO ADMINISTRATIVO</c:v>
                </c:pt>
                <c:pt idx="5">
                  <c:v>COMBUSTÍVEL</c:v>
                </c:pt>
                <c:pt idx="6">
                  <c:v>ÓLEO</c:v>
                </c:pt>
                <c:pt idx="7">
                  <c:v>PNEU</c:v>
                </c:pt>
                <c:pt idx="8">
                  <c:v>MANUTENÇÃO</c:v>
                </c:pt>
              </c:strCache>
            </c:strRef>
          </c:cat>
          <c:val>
            <c:numRef>
              <c:f>('CÁLCULO DE FRETE'!$I$10:$I$14,'CÁLCULO DE FRETE'!$I$18:$I$21)</c:f>
              <c:numCache>
                <c:formatCode>0%</c:formatCode>
                <c:ptCount val="9"/>
                <c:pt idx="0">
                  <c:v>8.4639363180870328E-2</c:v>
                </c:pt>
                <c:pt idx="1">
                  <c:v>0.10794527174137331</c:v>
                </c:pt>
                <c:pt idx="2">
                  <c:v>0.19271731924259702</c:v>
                </c:pt>
                <c:pt idx="3">
                  <c:v>2.0834304782983464E-2</c:v>
                </c:pt>
                <c:pt idx="4">
                  <c:v>0.10417152391491734</c:v>
                </c:pt>
                <c:pt idx="5">
                  <c:v>0.3487481452803754</c:v>
                </c:pt>
                <c:pt idx="6">
                  <c:v>1.5278490174187873E-3</c:v>
                </c:pt>
                <c:pt idx="7">
                  <c:v>6.3023771968524975E-2</c:v>
                </c:pt>
                <c:pt idx="8">
                  <c:v>7.6392450870939377E-2</c:v>
                </c:pt>
              </c:numCache>
            </c:numRef>
          </c:val>
        </c:ser>
        <c:ser>
          <c:idx val="0"/>
          <c:order val="1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('CÁLCULO DE FRETE'!$F$10:$F$14,'CÁLCULO DE FRETE'!$F$18:$F$21)</c:f>
              <c:strCache>
                <c:ptCount val="9"/>
                <c:pt idx="0">
                  <c:v>DEPRECIAÇÃO</c:v>
                </c:pt>
                <c:pt idx="1">
                  <c:v>REMUNERAÇÃO DE CAPITAL</c:v>
                </c:pt>
                <c:pt idx="2">
                  <c:v>MÃO DE OBRA</c:v>
                </c:pt>
                <c:pt idx="3">
                  <c:v>IPVA/SEGURO OBRIGATÓRIO</c:v>
                </c:pt>
                <c:pt idx="4">
                  <c:v>CUSTO ADMINISTRATIVO</c:v>
                </c:pt>
                <c:pt idx="5">
                  <c:v>COMBUSTÍVEL</c:v>
                </c:pt>
                <c:pt idx="6">
                  <c:v>ÓLEO</c:v>
                </c:pt>
                <c:pt idx="7">
                  <c:v>PNEU</c:v>
                </c:pt>
                <c:pt idx="8">
                  <c:v>MANUTENÇÃO</c:v>
                </c:pt>
              </c:strCache>
            </c:strRef>
          </c:cat>
          <c:val>
            <c:numRef>
              <c:f>('CÁLCULO DE FRETE'!$G$10:$G$14,'CÁLCULO DE FRETE'!$G$18:$G$21)</c:f>
              <c:numCache>
                <c:formatCode>#,##0.00</c:formatCode>
                <c:ptCount val="9"/>
                <c:pt idx="0">
                  <c:v>7.3863636363636367</c:v>
                </c:pt>
                <c:pt idx="1">
                  <c:v>9.4202389992470685</c:v>
                </c:pt>
                <c:pt idx="2">
                  <c:v>16.818181818181817</c:v>
                </c:pt>
                <c:pt idx="3">
                  <c:v>1.8181818181818181</c:v>
                </c:pt>
                <c:pt idx="4">
                  <c:v>9.0909090909090917</c:v>
                </c:pt>
                <c:pt idx="5">
                  <c:v>547.82608695652175</c:v>
                </c:pt>
                <c:pt idx="6">
                  <c:v>2.4</c:v>
                </c:pt>
                <c:pt idx="7">
                  <c:v>99</c:v>
                </c:pt>
                <c:pt idx="8">
                  <c:v>120</c:v>
                </c:pt>
              </c:numCache>
            </c:numRef>
          </c:val>
        </c:ser>
        <c:ser>
          <c:idx val="1"/>
          <c:order val="2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('CÁLCULO DE FRETE'!$F$10:$F$14,'CÁLCULO DE FRETE'!$F$18:$F$21)</c:f>
              <c:strCache>
                <c:ptCount val="9"/>
                <c:pt idx="0">
                  <c:v>DEPRECIAÇÃO</c:v>
                </c:pt>
                <c:pt idx="1">
                  <c:v>REMUNERAÇÃO DE CAPITAL</c:v>
                </c:pt>
                <c:pt idx="2">
                  <c:v>MÃO DE OBRA</c:v>
                </c:pt>
                <c:pt idx="3">
                  <c:v>IPVA/SEGURO OBRIGATÓRIO</c:v>
                </c:pt>
                <c:pt idx="4">
                  <c:v>CUSTO ADMINISTRATIVO</c:v>
                </c:pt>
                <c:pt idx="5">
                  <c:v>COMBUSTÍVEL</c:v>
                </c:pt>
                <c:pt idx="6">
                  <c:v>ÓLEO</c:v>
                </c:pt>
                <c:pt idx="7">
                  <c:v>PNEU</c:v>
                </c:pt>
                <c:pt idx="8">
                  <c:v>MANUTENÇÃO</c:v>
                </c:pt>
              </c:strCache>
            </c:strRef>
          </c:cat>
          <c:val>
            <c:numRef>
              <c:f>('CÁLCULO DE FRETE'!$H$10:$H$14,'CÁLCULO DE FRETE'!$H$18:$H$21)</c:f>
              <c:numCache>
                <c:formatCode>#,##0.00</c:formatCode>
                <c:ptCount val="9"/>
                <c:pt idx="0">
                  <c:v>132.95454545454547</c:v>
                </c:pt>
                <c:pt idx="1">
                  <c:v>169.56430198644722</c:v>
                </c:pt>
                <c:pt idx="2">
                  <c:v>302.72727272727269</c:v>
                </c:pt>
                <c:pt idx="3">
                  <c:v>32.727272727272727</c:v>
                </c:pt>
                <c:pt idx="4">
                  <c:v>163.63636363636365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0</xdr:rowOff>
    </xdr:from>
    <xdr:to>
      <xdr:col>20</xdr:col>
      <xdr:colOff>19050</xdr:colOff>
      <xdr:row>23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36"/>
  <sheetViews>
    <sheetView showGridLines="0" tabSelected="1" workbookViewId="0">
      <selection activeCell="C3" sqref="C3"/>
    </sheetView>
  </sheetViews>
  <sheetFormatPr defaultRowHeight="17.100000000000001" customHeight="1"/>
  <cols>
    <col min="1" max="1" width="3.42578125" style="1" customWidth="1"/>
    <col min="2" max="2" width="35.7109375" style="2" customWidth="1"/>
    <col min="3" max="4" width="9.140625" style="3"/>
    <col min="5" max="5" width="3.42578125" style="2" customWidth="1"/>
    <col min="6" max="6" width="24.7109375" style="2" customWidth="1"/>
    <col min="7" max="9" width="8.7109375" style="3" customWidth="1"/>
    <col min="10" max="10" width="3.42578125" style="2" customWidth="1"/>
    <col min="11" max="19" width="9.140625" style="2"/>
    <col min="20" max="16384" width="9.140625" style="1"/>
  </cols>
  <sheetData>
    <row r="2" spans="2:23" ht="17.100000000000001" customHeight="1">
      <c r="B2" s="51" t="s">
        <v>0</v>
      </c>
      <c r="C2" s="51"/>
      <c r="D2" s="51"/>
      <c r="F2" s="51" t="s">
        <v>1</v>
      </c>
      <c r="G2" s="51"/>
      <c r="H2" s="51"/>
      <c r="I2" s="51"/>
      <c r="V2" s="32"/>
      <c r="W2" s="7"/>
    </row>
    <row r="3" spans="2:23" ht="17.100000000000001" customHeight="1">
      <c r="B3" s="8" t="s">
        <v>2</v>
      </c>
      <c r="C3" s="46">
        <v>2000</v>
      </c>
      <c r="D3" s="9" t="s">
        <v>3</v>
      </c>
      <c r="F3" s="22" t="s">
        <v>4</v>
      </c>
      <c r="G3" s="20">
        <v>600</v>
      </c>
      <c r="H3" s="15" t="s">
        <v>5</v>
      </c>
      <c r="I3" s="9"/>
    </row>
    <row r="4" spans="2:23" ht="17.100000000000001" customHeight="1">
      <c r="B4" s="10" t="s">
        <v>6</v>
      </c>
      <c r="C4" s="43">
        <v>220</v>
      </c>
      <c r="D4" s="18" t="s">
        <v>7</v>
      </c>
      <c r="F4" s="50" t="s">
        <v>8</v>
      </c>
      <c r="G4" s="21">
        <v>3</v>
      </c>
      <c r="H4" s="17" t="s">
        <v>9</v>
      </c>
      <c r="I4" s="18"/>
    </row>
    <row r="5" spans="2:23" ht="17.100000000000001" customHeight="1">
      <c r="B5" s="10" t="s">
        <v>10</v>
      </c>
      <c r="C5" s="47">
        <f>C3*0.85</f>
        <v>1700</v>
      </c>
      <c r="D5" s="18" t="s">
        <v>3</v>
      </c>
      <c r="F5" s="50" t="s">
        <v>11</v>
      </c>
      <c r="G5" s="21">
        <v>3</v>
      </c>
      <c r="H5" s="17" t="s">
        <v>9</v>
      </c>
      <c r="I5" s="18"/>
    </row>
    <row r="6" spans="2:23" ht="17.100000000000001" customHeight="1">
      <c r="B6" s="10" t="s">
        <v>12</v>
      </c>
      <c r="C6" s="6">
        <v>6.1600000000000002E-2</v>
      </c>
      <c r="D6" s="18" t="s">
        <v>13</v>
      </c>
      <c r="F6" s="50" t="s">
        <v>14</v>
      </c>
      <c r="G6" s="21">
        <v>50</v>
      </c>
      <c r="H6" s="17" t="s">
        <v>15</v>
      </c>
      <c r="I6" s="18"/>
    </row>
    <row r="7" spans="2:23" ht="17.100000000000001" customHeight="1">
      <c r="B7" s="10" t="s">
        <v>16</v>
      </c>
      <c r="C7" s="4">
        <v>2000</v>
      </c>
      <c r="D7" s="18" t="s">
        <v>3</v>
      </c>
      <c r="F7" s="23" t="s">
        <v>17</v>
      </c>
      <c r="G7" s="19">
        <f>ROUNDUP(G3/G6,0)</f>
        <v>12</v>
      </c>
      <c r="H7" s="25" t="s">
        <v>9</v>
      </c>
      <c r="I7" s="16"/>
    </row>
    <row r="8" spans="2:23" ht="17.100000000000001" customHeight="1">
      <c r="B8" s="10" t="s">
        <v>18</v>
      </c>
      <c r="C8" s="4">
        <v>2.2999999999999998</v>
      </c>
      <c r="D8" s="18" t="s">
        <v>19</v>
      </c>
      <c r="F8" s="56" t="s">
        <v>20</v>
      </c>
      <c r="G8" s="56"/>
      <c r="H8" s="56"/>
      <c r="I8" s="56"/>
    </row>
    <row r="9" spans="2:23" ht="17.100000000000001" customHeight="1">
      <c r="B9" s="10" t="s">
        <v>21</v>
      </c>
      <c r="C9" s="5">
        <v>45000</v>
      </c>
      <c r="D9" s="18" t="s">
        <v>5</v>
      </c>
      <c r="F9" s="8"/>
      <c r="G9" s="15" t="s">
        <v>22</v>
      </c>
      <c r="H9" s="15" t="s">
        <v>23</v>
      </c>
      <c r="I9" s="9" t="s">
        <v>24</v>
      </c>
    </row>
    <row r="10" spans="2:23" ht="17.100000000000001" customHeight="1">
      <c r="B10" s="10" t="s">
        <v>25</v>
      </c>
      <c r="C10" s="5">
        <v>20</v>
      </c>
      <c r="D10" s="18" t="s">
        <v>26</v>
      </c>
      <c r="F10" s="10" t="s">
        <v>27</v>
      </c>
      <c r="G10" s="47">
        <f>C24/C4</f>
        <v>7.3863636363636367</v>
      </c>
      <c r="H10" s="47">
        <f>(G7+G4+G5)*G10</f>
        <v>132.95454545454547</v>
      </c>
      <c r="I10" s="11">
        <f>H10/$G$24</f>
        <v>8.4639363180870328E-2</v>
      </c>
    </row>
    <row r="11" spans="2:23" ht="17.100000000000001" customHeight="1">
      <c r="B11" s="10" t="s">
        <v>28</v>
      </c>
      <c r="C11" s="5">
        <v>18</v>
      </c>
      <c r="D11" s="18"/>
      <c r="F11" s="10" t="s">
        <v>29</v>
      </c>
      <c r="G11" s="47">
        <f>C25/C4</f>
        <v>9.4202389992470685</v>
      </c>
      <c r="H11" s="47">
        <f>(G7+G4+G5)*G11</f>
        <v>169.56430198644722</v>
      </c>
      <c r="I11" s="11">
        <f>H11/$G$24</f>
        <v>0.10794527174137331</v>
      </c>
    </row>
    <row r="12" spans="2:23" ht="17.100000000000001" customHeight="1">
      <c r="B12" s="10" t="s">
        <v>30</v>
      </c>
      <c r="C12" s="5">
        <v>80000</v>
      </c>
      <c r="D12" s="18" t="s">
        <v>5</v>
      </c>
      <c r="F12" s="10" t="s">
        <v>31</v>
      </c>
      <c r="G12" s="47">
        <f>C26/C4</f>
        <v>16.818181818181817</v>
      </c>
      <c r="H12" s="47">
        <f>(G7+G4+G5)*G12</f>
        <v>302.72727272727269</v>
      </c>
      <c r="I12" s="11">
        <f>H12/$G$24</f>
        <v>0.19271731924259702</v>
      </c>
    </row>
    <row r="13" spans="2:23" ht="17.100000000000001" customHeight="1">
      <c r="B13" s="10" t="s">
        <v>32</v>
      </c>
      <c r="C13" s="5">
        <v>2</v>
      </c>
      <c r="D13" s="18"/>
      <c r="F13" s="10" t="s">
        <v>33</v>
      </c>
      <c r="G13" s="47">
        <f>C27/C4</f>
        <v>1.8181818181818181</v>
      </c>
      <c r="H13" s="47">
        <f>(G7+G4+G5)*G13</f>
        <v>32.727272727272727</v>
      </c>
      <c r="I13" s="11">
        <f>H13/$G$24</f>
        <v>2.0834304782983464E-2</v>
      </c>
    </row>
    <row r="14" spans="2:23" ht="17.100000000000001" customHeight="1">
      <c r="B14" s="10" t="s">
        <v>34</v>
      </c>
      <c r="C14" s="4">
        <v>0.2</v>
      </c>
      <c r="D14" s="18" t="s">
        <v>35</v>
      </c>
      <c r="F14" s="10" t="s">
        <v>16</v>
      </c>
      <c r="G14" s="47">
        <f>C28/C4</f>
        <v>9.0909090909090917</v>
      </c>
      <c r="H14" s="47">
        <f>(G7+G4+G5)*G14</f>
        <v>163.63636363636365</v>
      </c>
      <c r="I14" s="11">
        <f>H14/$G$24</f>
        <v>0.10417152391491734</v>
      </c>
    </row>
    <row r="15" spans="2:23" ht="17.100000000000001" customHeight="1">
      <c r="B15" s="10" t="s">
        <v>36</v>
      </c>
      <c r="C15" s="4">
        <v>415000</v>
      </c>
      <c r="D15" s="18" t="s">
        <v>37</v>
      </c>
      <c r="F15" s="12" t="s">
        <v>38</v>
      </c>
      <c r="G15" s="48">
        <f>SUM(G10:G14)</f>
        <v>44.533875362883435</v>
      </c>
      <c r="H15" s="48">
        <f>SUM(H10:H14)</f>
        <v>801.60975653190178</v>
      </c>
      <c r="I15" s="16"/>
    </row>
    <row r="16" spans="2:23" ht="17.100000000000001" customHeight="1">
      <c r="B16" s="10" t="s">
        <v>39</v>
      </c>
      <c r="C16" s="5">
        <v>120</v>
      </c>
      <c r="D16" s="18" t="s">
        <v>40</v>
      </c>
      <c r="F16" s="57" t="s">
        <v>41</v>
      </c>
      <c r="G16" s="57"/>
      <c r="H16" s="57"/>
      <c r="I16" s="57"/>
    </row>
    <row r="17" spans="2:9" ht="17.100000000000001" customHeight="1">
      <c r="B17" s="10" t="s">
        <v>42</v>
      </c>
      <c r="C17" s="4">
        <v>220000</v>
      </c>
      <c r="D17" s="18" t="s">
        <v>37</v>
      </c>
      <c r="F17" s="8"/>
      <c r="G17" s="58" t="s">
        <v>35</v>
      </c>
      <c r="H17" s="58"/>
      <c r="I17" s="9" t="s">
        <v>24</v>
      </c>
    </row>
    <row r="18" spans="2:9" ht="17.100000000000001" customHeight="1">
      <c r="B18" s="10" t="s">
        <v>43</v>
      </c>
      <c r="C18" s="4">
        <v>9</v>
      </c>
      <c r="D18" s="18" t="s">
        <v>44</v>
      </c>
      <c r="F18" s="10" t="s">
        <v>45</v>
      </c>
      <c r="G18" s="52">
        <f>G3*C32</f>
        <v>547.82608695652175</v>
      </c>
      <c r="H18" s="52"/>
      <c r="I18" s="11">
        <f>G18/$G$24</f>
        <v>0.3487481452803754</v>
      </c>
    </row>
    <row r="19" spans="2:9" ht="17.100000000000001" customHeight="1">
      <c r="B19" s="10" t="s">
        <v>46</v>
      </c>
      <c r="C19" s="4">
        <v>2.1</v>
      </c>
      <c r="D19" s="18" t="s">
        <v>44</v>
      </c>
      <c r="F19" s="10" t="s">
        <v>47</v>
      </c>
      <c r="G19" s="52">
        <f>G3*C33</f>
        <v>2.4</v>
      </c>
      <c r="H19" s="52"/>
      <c r="I19" s="11">
        <f>G19/$G$24</f>
        <v>1.5278490174187873E-3</v>
      </c>
    </row>
    <row r="20" spans="2:9" ht="17.100000000000001" customHeight="1">
      <c r="B20" s="10" t="s">
        <v>48</v>
      </c>
      <c r="C20" s="4">
        <v>1600</v>
      </c>
      <c r="D20" s="18" t="s">
        <v>37</v>
      </c>
      <c r="F20" s="10" t="s">
        <v>49</v>
      </c>
      <c r="G20" s="52">
        <f>G3*C34</f>
        <v>99</v>
      </c>
      <c r="H20" s="52"/>
      <c r="I20" s="11">
        <f>G20/$G$24</f>
        <v>6.3023771968524975E-2</v>
      </c>
    </row>
    <row r="21" spans="2:9" ht="17.100000000000001" customHeight="1">
      <c r="B21" s="10" t="s">
        <v>50</v>
      </c>
      <c r="C21" s="4">
        <v>300</v>
      </c>
      <c r="D21" s="18" t="s">
        <v>37</v>
      </c>
      <c r="F21" s="10" t="s">
        <v>51</v>
      </c>
      <c r="G21" s="52">
        <f>G3*C35</f>
        <v>120</v>
      </c>
      <c r="H21" s="52"/>
      <c r="I21" s="11">
        <f>G21/$G$24</f>
        <v>7.6392450870939377E-2</v>
      </c>
    </row>
    <row r="22" spans="2:9" ht="17.100000000000001" customHeight="1">
      <c r="B22" s="12" t="s">
        <v>33</v>
      </c>
      <c r="C22" s="14">
        <v>4800</v>
      </c>
      <c r="D22" s="16" t="s">
        <v>52</v>
      </c>
      <c r="F22" s="12" t="s">
        <v>38</v>
      </c>
      <c r="G22" s="53">
        <f>SUM(G18:H21)</f>
        <v>769.22608695652173</v>
      </c>
      <c r="H22" s="53"/>
      <c r="I22" s="13"/>
    </row>
    <row r="23" spans="2:9" ht="17.100000000000001" customHeight="1">
      <c r="B23" s="51" t="s">
        <v>53</v>
      </c>
      <c r="C23" s="51"/>
      <c r="D23" s="51"/>
      <c r="G23" s="7"/>
    </row>
    <row r="24" spans="2:9" ht="17.100000000000001" customHeight="1">
      <c r="B24" s="8" t="s">
        <v>27</v>
      </c>
      <c r="C24" s="49">
        <f>(C15-C17)/C16</f>
        <v>1625</v>
      </c>
      <c r="D24" s="9" t="s">
        <v>3</v>
      </c>
      <c r="F24" s="26" t="s">
        <v>38</v>
      </c>
      <c r="G24" s="54">
        <f>H15+G22</f>
        <v>1570.8358434884235</v>
      </c>
      <c r="H24" s="54"/>
      <c r="I24" s="55"/>
    </row>
    <row r="25" spans="2:9" ht="17.100000000000001" customHeight="1">
      <c r="B25" s="10" t="s">
        <v>29</v>
      </c>
      <c r="C25" s="47">
        <f>C15*((1+C6)^(1/12)-1)</f>
        <v>2072.4525798343552</v>
      </c>
      <c r="D25" s="18" t="s">
        <v>3</v>
      </c>
    </row>
    <row r="26" spans="2:9" ht="17.100000000000001" customHeight="1">
      <c r="B26" s="10" t="s">
        <v>31</v>
      </c>
      <c r="C26" s="47">
        <f>C3+C5</f>
        <v>3700</v>
      </c>
      <c r="D26" s="18" t="s">
        <v>3</v>
      </c>
      <c r="F26" s="29"/>
      <c r="G26" s="30"/>
      <c r="H26" s="31"/>
      <c r="I26" s="31"/>
    </row>
    <row r="27" spans="2:9" ht="17.100000000000001" customHeight="1">
      <c r="B27" s="10" t="s">
        <v>33</v>
      </c>
      <c r="C27" s="47">
        <f>C22/12</f>
        <v>400</v>
      </c>
      <c r="D27" s="18" t="s">
        <v>3</v>
      </c>
      <c r="F27" s="45"/>
      <c r="G27" s="30"/>
      <c r="H27" s="31"/>
      <c r="I27" s="31"/>
    </row>
    <row r="28" spans="2:9" ht="17.100000000000001" customHeight="1">
      <c r="B28" s="10" t="s">
        <v>54</v>
      </c>
      <c r="C28" s="47">
        <f>C7</f>
        <v>2000</v>
      </c>
      <c r="D28" s="18" t="s">
        <v>3</v>
      </c>
      <c r="F28" s="29"/>
      <c r="G28" s="30"/>
      <c r="H28" s="31"/>
      <c r="I28" s="31"/>
    </row>
    <row r="29" spans="2:9" ht="17.100000000000001" customHeight="1">
      <c r="B29" s="10" t="s">
        <v>55</v>
      </c>
      <c r="C29" s="47">
        <f>SUM(C24:C28)</f>
        <v>9797.4525798343548</v>
      </c>
      <c r="D29" s="18" t="s">
        <v>3</v>
      </c>
      <c r="F29" s="29"/>
      <c r="G29" s="30"/>
      <c r="H29" s="31"/>
      <c r="I29" s="31"/>
    </row>
    <row r="30" spans="2:9" ht="17.100000000000001" customHeight="1">
      <c r="B30" s="12" t="s">
        <v>56</v>
      </c>
      <c r="C30" s="48">
        <f>C29/C4</f>
        <v>44.533875362883428</v>
      </c>
      <c r="D30" s="16" t="s">
        <v>22</v>
      </c>
      <c r="F30" s="29"/>
      <c r="G30" s="30"/>
      <c r="H30" s="31"/>
      <c r="I30" s="31"/>
    </row>
    <row r="31" spans="2:9" ht="17.100000000000001" customHeight="1">
      <c r="B31" s="51" t="s">
        <v>57</v>
      </c>
      <c r="C31" s="51"/>
      <c r="D31" s="51"/>
      <c r="F31" s="29"/>
      <c r="G31" s="30"/>
      <c r="H31" s="31"/>
      <c r="I31" s="31"/>
    </row>
    <row r="32" spans="2:9" ht="17.100000000000001" customHeight="1">
      <c r="B32" s="8" t="s">
        <v>45</v>
      </c>
      <c r="C32" s="49">
        <f>C19/C8</f>
        <v>0.91304347826086962</v>
      </c>
      <c r="D32" s="9" t="s">
        <v>35</v>
      </c>
      <c r="F32" s="29"/>
      <c r="G32" s="30"/>
      <c r="H32" s="31"/>
      <c r="I32" s="31"/>
    </row>
    <row r="33" spans="2:9" ht="17.100000000000001" customHeight="1">
      <c r="B33" s="10" t="s">
        <v>47</v>
      </c>
      <c r="C33" s="24">
        <f>C18*C10/C9</f>
        <v>4.0000000000000001E-3</v>
      </c>
      <c r="D33" s="18" t="s">
        <v>35</v>
      </c>
      <c r="F33" s="29"/>
      <c r="G33" s="30"/>
      <c r="H33" s="31"/>
      <c r="I33" s="31"/>
    </row>
    <row r="34" spans="2:9" ht="17.100000000000001" customHeight="1">
      <c r="B34" s="10" t="s">
        <v>49</v>
      </c>
      <c r="C34" s="47">
        <f>C11*(C20+C13*C21)/(3*C12)</f>
        <v>0.16500000000000001</v>
      </c>
      <c r="D34" s="18" t="s">
        <v>35</v>
      </c>
      <c r="F34" s="29"/>
      <c r="G34" s="30"/>
      <c r="H34" s="31"/>
      <c r="I34" s="31"/>
    </row>
    <row r="35" spans="2:9" ht="17.100000000000001" customHeight="1">
      <c r="B35" s="10" t="s">
        <v>51</v>
      </c>
      <c r="C35" s="47">
        <f>C14</f>
        <v>0.2</v>
      </c>
      <c r="D35" s="18" t="s">
        <v>35</v>
      </c>
      <c r="F35" s="27"/>
      <c r="G35" s="28"/>
      <c r="H35" s="28"/>
      <c r="I35" s="28"/>
    </row>
    <row r="36" spans="2:9" ht="17.100000000000001" customHeight="1">
      <c r="B36" s="12" t="s">
        <v>38</v>
      </c>
      <c r="C36" s="48">
        <f>SUM(C32:C35)</f>
        <v>1.2820434782608696</v>
      </c>
      <c r="D36" s="16" t="s">
        <v>35</v>
      </c>
      <c r="F36" s="27"/>
      <c r="G36" s="28"/>
      <c r="H36" s="28"/>
      <c r="I36" s="28"/>
    </row>
  </sheetData>
  <mergeCells count="13">
    <mergeCell ref="G18:H18"/>
    <mergeCell ref="B2:D2"/>
    <mergeCell ref="F2:I2"/>
    <mergeCell ref="F8:I8"/>
    <mergeCell ref="F16:I16"/>
    <mergeCell ref="G17:H17"/>
    <mergeCell ref="B31:D31"/>
    <mergeCell ref="G19:H19"/>
    <mergeCell ref="G20:H20"/>
    <mergeCell ref="G21:H21"/>
    <mergeCell ref="G22:H22"/>
    <mergeCell ref="B23:D23"/>
    <mergeCell ref="G24:I2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AE26"/>
  <sheetViews>
    <sheetView showGridLines="0" workbookViewId="0">
      <selection activeCell="C8" sqref="C8"/>
    </sheetView>
  </sheetViews>
  <sheetFormatPr defaultRowHeight="17.100000000000001" customHeight="1"/>
  <cols>
    <col min="1" max="1" width="3.42578125" style="1" customWidth="1"/>
    <col min="2" max="2" width="32.7109375" style="2" customWidth="1"/>
    <col min="3" max="3" width="9.140625" style="3"/>
    <col min="4" max="7" width="8.7109375" style="3" customWidth="1"/>
    <col min="8" max="10" width="9.140625" style="3"/>
    <col min="11" max="14" width="9.140625" style="2"/>
    <col min="15" max="16" width="9.140625" style="3"/>
    <col min="17" max="17" width="9.140625" style="2"/>
    <col min="18" max="18" width="9.140625" style="3"/>
    <col min="19" max="31" width="9.140625" style="2"/>
    <col min="32" max="16384" width="9.140625" style="1"/>
  </cols>
  <sheetData>
    <row r="2" spans="2:21" ht="17.100000000000001" customHeight="1">
      <c r="B2" s="59" t="s">
        <v>58</v>
      </c>
      <c r="C2" s="60"/>
      <c r="D2" s="60"/>
      <c r="E2" s="60"/>
      <c r="F2" s="60"/>
      <c r="G2" s="61"/>
    </row>
    <row r="3" spans="2:21" ht="17.100000000000001" customHeight="1">
      <c r="B3" s="10" t="s">
        <v>59</v>
      </c>
      <c r="C3" s="34" t="s">
        <v>60</v>
      </c>
      <c r="D3" s="17"/>
      <c r="E3" s="17"/>
      <c r="F3" s="17"/>
      <c r="G3" s="18"/>
    </row>
    <row r="4" spans="2:21" ht="17.100000000000001" customHeight="1">
      <c r="B4" s="10" t="s">
        <v>61</v>
      </c>
      <c r="C4" s="5">
        <v>6000</v>
      </c>
      <c r="D4" s="17" t="s">
        <v>62</v>
      </c>
      <c r="E4" s="17"/>
      <c r="F4" s="17"/>
      <c r="G4" s="18"/>
    </row>
    <row r="5" spans="2:21" ht="17.100000000000001" customHeight="1">
      <c r="B5" s="10" t="s">
        <v>63</v>
      </c>
      <c r="C5" s="34" t="s">
        <v>64</v>
      </c>
      <c r="D5" s="17"/>
      <c r="E5" s="17"/>
      <c r="F5" s="17"/>
      <c r="G5" s="18"/>
    </row>
    <row r="6" spans="2:21" ht="17.100000000000001" customHeight="1">
      <c r="B6" s="10" t="s">
        <v>65</v>
      </c>
      <c r="C6" s="34">
        <v>25</v>
      </c>
      <c r="D6" s="17" t="s">
        <v>62</v>
      </c>
      <c r="E6" s="17"/>
      <c r="F6" s="17"/>
      <c r="G6" s="18"/>
    </row>
    <row r="7" spans="2:21" ht="17.100000000000001" customHeight="1">
      <c r="B7" s="10" t="s">
        <v>66</v>
      </c>
      <c r="C7" s="17">
        <f>ROUNDUP(C4/C6,0)</f>
        <v>240</v>
      </c>
      <c r="D7" s="17" t="s">
        <v>67</v>
      </c>
      <c r="E7" s="17"/>
      <c r="F7" s="17"/>
      <c r="G7" s="18"/>
    </row>
    <row r="8" spans="2:21" ht="17.100000000000001" customHeight="1">
      <c r="B8" s="12" t="s">
        <v>68</v>
      </c>
      <c r="C8" s="38">
        <v>0.41666666666666669</v>
      </c>
      <c r="D8" s="39" t="s">
        <v>9</v>
      </c>
      <c r="E8" s="25"/>
      <c r="F8" s="25"/>
      <c r="G8" s="16"/>
    </row>
    <row r="9" spans="2:21" ht="17.100000000000001" customHeight="1">
      <c r="B9" s="59" t="s">
        <v>69</v>
      </c>
      <c r="C9" s="60"/>
      <c r="D9" s="60"/>
      <c r="E9" s="60"/>
      <c r="F9" s="60"/>
      <c r="G9" s="61"/>
    </row>
    <row r="10" spans="2:21" ht="17.100000000000001" customHeight="1">
      <c r="B10" s="62" t="s">
        <v>70</v>
      </c>
      <c r="C10" s="17" t="s">
        <v>71</v>
      </c>
      <c r="D10" s="17" t="s">
        <v>72</v>
      </c>
      <c r="E10" s="17" t="s">
        <v>73</v>
      </c>
      <c r="F10" s="17" t="s">
        <v>74</v>
      </c>
      <c r="G10" s="18" t="s">
        <v>75</v>
      </c>
      <c r="N10" s="32"/>
      <c r="O10" s="7"/>
    </row>
    <row r="11" spans="2:21" ht="17.100000000000001" customHeight="1">
      <c r="B11" s="62"/>
      <c r="C11" s="34" t="s">
        <v>76</v>
      </c>
      <c r="D11" s="34" t="s">
        <v>77</v>
      </c>
      <c r="E11" s="34">
        <v>65</v>
      </c>
      <c r="F11" s="34">
        <v>65</v>
      </c>
      <c r="G11" s="18">
        <f>E11+F11</f>
        <v>130</v>
      </c>
      <c r="R11" s="32"/>
      <c r="S11" s="32"/>
    </row>
    <row r="12" spans="2:21" ht="17.100000000000001" customHeight="1">
      <c r="B12" s="10" t="s">
        <v>78</v>
      </c>
      <c r="C12" s="34">
        <v>70</v>
      </c>
      <c r="D12" s="17" t="s">
        <v>15</v>
      </c>
      <c r="E12" s="17"/>
      <c r="F12" s="17"/>
      <c r="G12" s="18"/>
    </row>
    <row r="13" spans="2:21" ht="17.100000000000001" customHeight="1">
      <c r="B13" s="10" t="s">
        <v>79</v>
      </c>
      <c r="C13" s="34">
        <v>70</v>
      </c>
      <c r="D13" s="17" t="s">
        <v>15</v>
      </c>
      <c r="E13" s="17"/>
      <c r="F13" s="17"/>
      <c r="G13" s="18"/>
    </row>
    <row r="14" spans="2:21" ht="17.100000000000001" customHeight="1">
      <c r="B14" s="10" t="s">
        <v>8</v>
      </c>
      <c r="C14" s="35">
        <v>8.3333333333333329E-2</v>
      </c>
      <c r="D14" s="17" t="s">
        <v>9</v>
      </c>
      <c r="E14" s="17"/>
      <c r="F14" s="17"/>
      <c r="G14" s="18"/>
      <c r="U14" s="33"/>
    </row>
    <row r="15" spans="2:21" ht="17.100000000000001" customHeight="1">
      <c r="B15" s="10" t="s">
        <v>80</v>
      </c>
      <c r="C15" s="36">
        <f>(E11/C12)/24</f>
        <v>3.8690476190476192E-2</v>
      </c>
      <c r="D15" s="17" t="s">
        <v>9</v>
      </c>
      <c r="E15" s="17"/>
      <c r="F15" s="17"/>
      <c r="G15" s="18"/>
    </row>
    <row r="16" spans="2:21" ht="17.100000000000001" customHeight="1">
      <c r="B16" s="10" t="s">
        <v>11</v>
      </c>
      <c r="C16" s="35">
        <v>6.25E-2</v>
      </c>
      <c r="D16" s="17" t="s">
        <v>9</v>
      </c>
      <c r="E16" s="17"/>
      <c r="F16" s="17"/>
      <c r="G16" s="18"/>
    </row>
    <row r="17" spans="2:7" ht="17.100000000000001" customHeight="1">
      <c r="B17" s="10" t="s">
        <v>81</v>
      </c>
      <c r="C17" s="36">
        <f>(F11/C13)/24</f>
        <v>3.8690476190476192E-2</v>
      </c>
      <c r="D17" s="17" t="s">
        <v>9</v>
      </c>
      <c r="E17" s="17"/>
      <c r="F17" s="17"/>
      <c r="G17" s="18"/>
    </row>
    <row r="18" spans="2:7" ht="17.100000000000001" customHeight="1">
      <c r="B18" s="10" t="s">
        <v>82</v>
      </c>
      <c r="C18" s="36">
        <f>C14+C15+C16+C17</f>
        <v>0.22321428571428573</v>
      </c>
      <c r="D18" s="17" t="s">
        <v>9</v>
      </c>
      <c r="E18" s="17"/>
      <c r="F18" s="17"/>
      <c r="G18" s="18"/>
    </row>
    <row r="19" spans="2:7" ht="17.100000000000001" customHeight="1">
      <c r="B19" s="10" t="s">
        <v>83</v>
      </c>
      <c r="C19" s="34">
        <v>22</v>
      </c>
      <c r="D19" s="17" t="s">
        <v>84</v>
      </c>
      <c r="E19" s="17"/>
      <c r="F19" s="17"/>
      <c r="G19" s="18"/>
    </row>
    <row r="20" spans="2:7" ht="17.100000000000001" customHeight="1">
      <c r="B20" s="10" t="s">
        <v>85</v>
      </c>
      <c r="C20" s="36">
        <f>C19*C8</f>
        <v>9.1666666666666679</v>
      </c>
      <c r="D20" s="17" t="s">
        <v>9</v>
      </c>
      <c r="E20" s="17"/>
      <c r="F20" s="17"/>
      <c r="G20" s="18"/>
    </row>
    <row r="21" spans="2:7" ht="17.100000000000001" customHeight="1">
      <c r="B21" s="10" t="s">
        <v>86</v>
      </c>
      <c r="C21" s="47">
        <f>ROUND(C8/C18,2)</f>
        <v>1.87</v>
      </c>
      <c r="D21" s="17" t="s">
        <v>67</v>
      </c>
      <c r="E21" s="17"/>
      <c r="F21" s="17"/>
      <c r="G21" s="18"/>
    </row>
    <row r="22" spans="2:7" ht="17.100000000000001" customHeight="1">
      <c r="B22" s="10" t="s">
        <v>87</v>
      </c>
      <c r="C22" s="37">
        <f>ROUND(C21*C19,0)</f>
        <v>41</v>
      </c>
      <c r="D22" s="17" t="s">
        <v>67</v>
      </c>
      <c r="E22" s="17"/>
      <c r="F22" s="17"/>
      <c r="G22" s="18"/>
    </row>
    <row r="23" spans="2:7" ht="17.100000000000001" customHeight="1">
      <c r="B23" s="10" t="s">
        <v>88</v>
      </c>
      <c r="C23" s="37">
        <f>ROUND(C21*G11,0)</f>
        <v>243</v>
      </c>
      <c r="D23" s="17" t="s">
        <v>5</v>
      </c>
      <c r="E23" s="17"/>
      <c r="F23" s="17"/>
      <c r="G23" s="18"/>
    </row>
    <row r="24" spans="2:7" ht="17.100000000000001" customHeight="1">
      <c r="B24" s="12" t="s">
        <v>89</v>
      </c>
      <c r="C24" s="19">
        <f>ROUND(C22*G11,0)</f>
        <v>5330</v>
      </c>
      <c r="D24" s="25" t="s">
        <v>5</v>
      </c>
      <c r="E24" s="25"/>
      <c r="F24" s="25"/>
      <c r="G24" s="16"/>
    </row>
    <row r="25" spans="2:7" ht="17.100000000000001" customHeight="1">
      <c r="B25" s="42"/>
      <c r="C25" s="43"/>
      <c r="D25" s="21"/>
      <c r="E25" s="21"/>
      <c r="F25" s="21"/>
      <c r="G25" s="21"/>
    </row>
    <row r="26" spans="2:7" ht="17.100000000000001" customHeight="1">
      <c r="B26" s="44" t="s">
        <v>90</v>
      </c>
      <c r="C26" s="40">
        <f>ROUNDUP(C7/C22,0)</f>
        <v>6</v>
      </c>
      <c r="D26" s="40" t="s">
        <v>91</v>
      </c>
      <c r="E26" s="40"/>
      <c r="F26" s="40"/>
      <c r="G26" s="41"/>
    </row>
  </sheetData>
  <mergeCells count="3">
    <mergeCell ref="B9:G9"/>
    <mergeCell ref="B10:B11"/>
    <mergeCell ref="B2:G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DE FRETE</vt:lpstr>
      <vt:lpstr>DIMENSIONAMENTO DE FROTA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Sandro Petrillo Alfonso</cp:lastModifiedBy>
  <dcterms:created xsi:type="dcterms:W3CDTF">2013-02-04T16:13:28Z</dcterms:created>
  <dcterms:modified xsi:type="dcterms:W3CDTF">2015-01-07T02:44:56Z</dcterms:modified>
</cp:coreProperties>
</file>